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73ee384bee3e93/Desktop/Erda Acres/Erda Acres- TI/Annual Shareholder MTG/2021/"/>
    </mc:Choice>
  </mc:AlternateContent>
  <xr:revisionPtr revIDLastSave="173" documentId="8_{36DC3C2E-8521-49D4-B88F-69EADC77D3D7}" xr6:coauthVersionLast="47" xr6:coauthVersionMax="47" xr10:uidLastSave="{3D9B4D12-C33B-47FF-B68B-D50F7D4C4DB1}"/>
  <bookViews>
    <workbookView xWindow="2685" yWindow="375" windowWidth="17580" windowHeight="14580" xr2:uid="{53A46A36-C8D3-482F-9AC6-0200C1306EE5}"/>
  </bookViews>
  <sheets>
    <sheet name="Water use" sheetId="1" r:id="rId1"/>
    <sheet name="Loan" sheetId="2" r:id="rId2"/>
    <sheet name="Sheet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2" l="1"/>
  <c r="D4" i="2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I39" i="1"/>
  <c r="H35" i="1" l="1"/>
  <c r="H34" i="1"/>
  <c r="H33" i="1"/>
  <c r="H31" i="1"/>
  <c r="H29" i="1"/>
  <c r="H27" i="1"/>
  <c r="H26" i="1"/>
  <c r="H25" i="1"/>
  <c r="H24" i="1"/>
  <c r="H23" i="1"/>
  <c r="H22" i="1"/>
  <c r="H20" i="1"/>
  <c r="I11" i="1"/>
  <c r="H11" i="1"/>
  <c r="G11" i="1"/>
  <c r="F11" i="1"/>
  <c r="E11" i="1"/>
  <c r="D11" i="1"/>
  <c r="C11" i="1"/>
  <c r="H36" i="1" l="1"/>
  <c r="I40" i="1" s="1"/>
  <c r="I41" i="1" s="1"/>
  <c r="I44" i="1" s="1"/>
  <c r="C10" i="1"/>
  <c r="C9" i="1"/>
  <c r="C12" i="1" s="1"/>
  <c r="C8" i="1"/>
  <c r="D8" i="1"/>
  <c r="D35" i="1"/>
  <c r="D34" i="1"/>
  <c r="D33" i="1"/>
  <c r="D31" i="1"/>
  <c r="D29" i="1"/>
  <c r="D27" i="1"/>
  <c r="D26" i="1"/>
  <c r="D25" i="1"/>
  <c r="D24" i="1"/>
  <c r="D23" i="1"/>
  <c r="D22" i="1"/>
  <c r="D20" i="1"/>
  <c r="D36" i="1" l="1"/>
  <c r="I10" i="1"/>
  <c r="H10" i="1"/>
  <c r="G10" i="1"/>
  <c r="F10" i="1"/>
  <c r="E10" i="1"/>
  <c r="D10" i="1"/>
  <c r="I9" i="1"/>
  <c r="I12" i="1" s="1"/>
  <c r="H9" i="1"/>
  <c r="H12" i="1" s="1"/>
  <c r="G9" i="1"/>
  <c r="G12" i="1" s="1"/>
  <c r="F9" i="1"/>
  <c r="F12" i="1" s="1"/>
  <c r="E9" i="1"/>
  <c r="E12" i="1" s="1"/>
  <c r="D9" i="1"/>
  <c r="D12" i="1" s="1"/>
  <c r="I8" i="1"/>
  <c r="H8" i="1"/>
  <c r="G8" i="1"/>
  <c r="F8" i="1"/>
  <c r="E8" i="1"/>
</calcChain>
</file>

<file path=xl/sharedStrings.xml><?xml version="1.0" encoding="utf-8"?>
<sst xmlns="http://schemas.openxmlformats.org/spreadsheetml/2006/main" count="72" uniqueCount="64">
  <si>
    <t>Fiscal Year Summary</t>
  </si>
  <si>
    <t>Fiscal Year</t>
  </si>
  <si>
    <t>Metric</t>
  </si>
  <si>
    <t>Average Number of Connections</t>
  </si>
  <si>
    <t>Total Gallons Pumped</t>
  </si>
  <si>
    <t>Total Gallons Metered</t>
  </si>
  <si>
    <t>Billing Efficiency</t>
  </si>
  <si>
    <t>Average Gallons used per connection</t>
  </si>
  <si>
    <t>Average Gallons Used per Month</t>
  </si>
  <si>
    <t>Gallons in 1.5 Acre Feet</t>
  </si>
  <si>
    <t>Gallons in 1 Acre Feet</t>
  </si>
  <si>
    <t>Month</t>
  </si>
  <si>
    <t>Nov 2019</t>
  </si>
  <si>
    <t>Oct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</si>
  <si>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</si>
  <si>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</si>
  <si>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</si>
  <si>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</si>
  <si>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</si>
  <si>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</si>
  <si>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</si>
  <si>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</si>
  <si>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</si>
  <si>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Sept 2020</t>
  </si>
  <si>
    <t>Max flow is the maximum water pumped in a single day durning the month.</t>
  </si>
  <si>
    <t>Average Acre Ft/Month</t>
  </si>
  <si>
    <t>Average Acre Ft/Connection</t>
  </si>
  <si>
    <t>Total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</si>
  <si>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</si>
  <si>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</si>
  <si>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</si>
  <si>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</si>
  <si>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</si>
  <si>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</si>
  <si>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</si>
  <si>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</si>
  <si>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</si>
  <si>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</si>
  <si>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</si>
  <si>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Sept 2021</t>
  </si>
  <si>
    <t>2021 Usage (gallons)</t>
  </si>
  <si>
    <t>2021 Max Flow</t>
  </si>
  <si>
    <t>2021 Max #</t>
  </si>
  <si>
    <t>2020 Usage (gallons)</t>
  </si>
  <si>
    <t>2020 Max Flow</t>
  </si>
  <si>
    <t>2020 Max #</t>
  </si>
  <si>
    <t>Total Gallons Scada</t>
  </si>
  <si>
    <t>Difference</t>
  </si>
  <si>
    <t>Nelson Well Pump</t>
  </si>
  <si>
    <t>620 gal/min</t>
  </si>
  <si>
    <t>Gallons/Hour</t>
  </si>
  <si>
    <t>Hour Difference</t>
  </si>
  <si>
    <t>Loan Agreement</t>
  </si>
  <si>
    <t>Year</t>
  </si>
  <si>
    <t>Principal Installment</t>
  </si>
  <si>
    <t>Loan balance</t>
  </si>
  <si>
    <t>Loan Amount is $2,120,000, of which $1,620,000 is the Loan Proceeds and</t>
  </si>
  <si>
    <t>$500,000 shall be Principal Forgiveness if payments are made on time.</t>
  </si>
  <si>
    <r>
      <t>Total of 30 year payment schedule</t>
    </r>
    <r>
      <rPr>
        <b/>
        <sz val="11"/>
        <color theme="1"/>
        <rFont val="Calibri"/>
        <family val="2"/>
        <scheme val="minor"/>
      </rPr>
      <t xml:space="preserve"> $1,620,000</t>
    </r>
  </si>
  <si>
    <t>Balance as of 9/30/2018 was $1,071,000</t>
  </si>
  <si>
    <t>Balance as of 10/10/2018 was $1,002,000</t>
  </si>
  <si>
    <t>Balance as of 10/13/2020 was $842,370</t>
  </si>
  <si>
    <t>Balance as of 10/12/2021 was $696,110</t>
  </si>
  <si>
    <t>Payment is in Bank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</si>
</sst>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2" fillId="3" borderId="1" xfId="0" applyFont="1" applyFill="1" applyBorder="1"/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3" fontId="0" fillId="2" borderId="6" xfId="0" applyNumberFormat="1" applyFill="1" applyBorder="1"/>
    <xf numFmtId="164" fontId="0" fillId="2" borderId="6" xfId="1" applyNumberFormat="1" applyFont="1" applyFill="1" applyBorder="1" applyAlignment="1">
      <alignment horizontal="right"/>
    </xf>
    <xf numFmtId="3" fontId="0" fillId="0" borderId="6" xfId="0" applyNumberFormat="1" applyBorder="1"/>
    <xf numFmtId="164" fontId="0" fillId="0" borderId="6" xfId="1" applyNumberFormat="1" applyFont="1" applyFill="1" applyBorder="1" applyAlignment="1">
      <alignment horizontal="right"/>
    </xf>
    <xf numFmtId="9" fontId="0" fillId="2" borderId="6" xfId="2" applyFont="1" applyFill="1" applyBorder="1"/>
    <xf numFmtId="9" fontId="0" fillId="2" borderId="6" xfId="2" applyFont="1" applyFill="1" applyBorder="1" applyAlignment="1">
      <alignment horizontal="right"/>
    </xf>
    <xf numFmtId="37" fontId="0" fillId="0" borderId="6" xfId="0" applyNumberFormat="1" applyBorder="1"/>
    <xf numFmtId="37" fontId="0" fillId="2" borderId="6" xfId="0" applyNumberFormat="1" applyFill="1" applyBorder="1"/>
    <xf numFmtId="0" fontId="0" fillId="2" borderId="7" xfId="0" applyFill="1" applyBorder="1"/>
    <xf numFmtId="3" fontId="0" fillId="2" borderId="8" xfId="0" applyNumberFormat="1" applyFill="1" applyBorder="1"/>
    <xf numFmtId="0" fontId="0" fillId="0" borderId="8" xfId="0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0" borderId="10" xfId="0" quotePrefix="1" applyBorder="1"/>
    <xf numFmtId="0" fontId="0" fillId="0" borderId="5" xfId="0" quotePrefix="1" applyBorder="1"/>
    <xf numFmtId="0" fontId="0" fillId="0" borderId="7" xfId="0" quotePrefix="1" applyBorder="1"/>
    <xf numFmtId="37" fontId="0" fillId="0" borderId="9" xfId="0" applyNumberFormat="1" applyBorder="1"/>
    <xf numFmtId="37" fontId="0" fillId="0" borderId="8" xfId="0" applyNumberFormat="1" applyBorder="1"/>
    <xf numFmtId="164" fontId="0" fillId="2" borderId="6" xfId="1" applyNumberFormat="1" applyFont="1" applyFill="1" applyBorder="1"/>
    <xf numFmtId="0" fontId="0" fillId="0" borderId="5" xfId="0" applyFill="1" applyBorder="1"/>
    <xf numFmtId="164" fontId="0" fillId="0" borderId="6" xfId="1" applyNumberFormat="1" applyFont="1" applyFill="1" applyBorder="1"/>
    <xf numFmtId="37" fontId="0" fillId="0" borderId="6" xfId="0" applyNumberFormat="1" applyFill="1" applyBorder="1"/>
    <xf numFmtId="43" fontId="0" fillId="2" borderId="6" xfId="1" applyNumberFormat="1" applyFont="1" applyFill="1" applyBorder="1"/>
    <xf numFmtId="39" fontId="0" fillId="2" borderId="6" xfId="0" applyNumberFormat="1" applyFill="1" applyBorder="1"/>
    <xf numFmtId="0" fontId="0" fillId="0" borderId="1" xfId="0" applyFill="1" applyBorder="1"/>
    <xf numFmtId="37" fontId="0" fillId="0" borderId="1" xfId="0" applyNumberFormat="1" applyBorder="1"/>
    <xf numFmtId="3" fontId="0" fillId="0" borderId="0" xfId="0" applyNumberFormat="1"/>
    <xf numFmtId="0" fontId="0" fillId="0" borderId="11" xfId="0" applyBorder="1"/>
    <xf numFmtId="0" fontId="0" fillId="0" borderId="12" xfId="0" applyBorder="1"/>
    <xf numFmtId="3" fontId="0" fillId="0" borderId="9" xfId="0" applyNumberFormat="1" applyBorder="1" applyAlignment="1">
      <alignment horizontal="left"/>
    </xf>
    <xf numFmtId="0" fontId="0" fillId="0" borderId="13" xfId="0" applyBorder="1"/>
    <xf numFmtId="0" fontId="0" fillId="0" borderId="0" xfId="0" applyBorder="1"/>
    <xf numFmtId="37" fontId="0" fillId="0" borderId="6" xfId="0" applyNumberFormat="1" applyBorder="1" applyAlignment="1">
      <alignment horizontal="left"/>
    </xf>
    <xf numFmtId="3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3" fontId="0" fillId="0" borderId="6" xfId="1" applyNumberFormat="1" applyFont="1" applyBorder="1" applyAlignment="1">
      <alignment horizontal="left" vertical="center"/>
    </xf>
    <xf numFmtId="0" fontId="0" fillId="0" borderId="14" xfId="0" applyBorder="1"/>
    <xf numFmtId="0" fontId="0" fillId="0" borderId="15" xfId="0" applyBorder="1"/>
    <xf numFmtId="2" fontId="0" fillId="0" borderId="8" xfId="0" applyNumberForma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165" fontId="3" fillId="0" borderId="0" xfId="0" applyNumberFormat="1" applyFont="1"/>
    <xf numFmtId="165" fontId="0" fillId="0" borderId="0" xfId="3" applyNumberFormat="1" applyFont="1" applyBorder="1"/>
    <xf numFmtId="165" fontId="0" fillId="0" borderId="6" xfId="3" applyNumberFormat="1" applyFont="1" applyBorder="1"/>
    <xf numFmtId="165" fontId="0" fillId="0" borderId="15" xfId="3" applyNumberFormat="1" applyFont="1" applyBorder="1"/>
    <xf numFmtId="165" fontId="0" fillId="0" borderId="8" xfId="3" applyNumberFormat="1" applyFont="1" applyBorder="1"/>
    <xf numFmtId="0" fontId="0" fillId="0" borderId="1" xfId="0" applyBorder="1" applyAlignment="1">
      <alignment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4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wrapText="1"/>
    </xf>
    <xf numFmtId="0" fontId="0" fillId="6" borderId="1" xfId="0" applyFill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5EF6A-9962-4094-BA03-B72D3052E268}">
  <dimension ref="B1:K44"/>
  <sheetViews>
    <sheetView tabSelected="1" workbookViewId="0">
      <selection activeCell="B26" sqref="B26"/>
    </sheetView>
  </sheetViews>
  <sheetFormatPr defaultRowHeight="15" x14ac:dyDescent="0.25"/>
  <cols>
    <col min="2" max="2" width="34.5703125" bestFit="1" customWidth="1"/>
    <col min="3" max="9" width="13.28515625" customWidth="1"/>
    <col min="10" max="10" width="11.5703125" bestFit="1" customWidth="1"/>
  </cols>
  <sheetData>
    <row r="1" spans="2:11" x14ac:dyDescent="0.25">
      <c r="B1" t="s">
        <v>0</v>
      </c>
    </row>
    <row r="3" spans="2:11" x14ac:dyDescent="0.25">
      <c r="B3" s="1"/>
      <c r="C3" s="45" t="s">
        <v>1</v>
      </c>
      <c r="D3" s="46"/>
      <c r="E3" s="46"/>
      <c r="F3" s="46"/>
      <c r="G3" s="46"/>
      <c r="H3" s="46"/>
      <c r="I3" s="47"/>
    </row>
    <row r="4" spans="2:11" x14ac:dyDescent="0.25">
      <c r="B4" s="2" t="s">
        <v>2</v>
      </c>
      <c r="C4" s="2">
        <v>2021</v>
      </c>
      <c r="D4" s="2">
        <v>2020</v>
      </c>
      <c r="E4" s="2">
        <v>2019</v>
      </c>
      <c r="F4" s="2">
        <v>2018</v>
      </c>
      <c r="G4" s="2">
        <v>2017</v>
      </c>
      <c r="H4" s="2">
        <v>2016</v>
      </c>
      <c r="I4" s="2">
        <v>2015</v>
      </c>
    </row>
    <row r="5" spans="2:11" x14ac:dyDescent="0.25">
      <c r="B5" s="3" t="s">
        <v>3</v>
      </c>
      <c r="C5" s="4">
        <v>295</v>
      </c>
      <c r="D5" s="4">
        <v>293</v>
      </c>
      <c r="E5" s="4">
        <v>285</v>
      </c>
      <c r="F5" s="4">
        <v>279</v>
      </c>
      <c r="G5" s="4">
        <v>253</v>
      </c>
      <c r="H5" s="4">
        <v>220</v>
      </c>
      <c r="I5" s="4">
        <v>202</v>
      </c>
    </row>
    <row r="6" spans="2:11" x14ac:dyDescent="0.25">
      <c r="B6" s="5" t="s">
        <v>4</v>
      </c>
      <c r="C6" s="6">
        <v>97149115</v>
      </c>
      <c r="D6" s="6">
        <v>106875483</v>
      </c>
      <c r="E6" s="7">
        <v>77811339</v>
      </c>
      <c r="F6" s="7">
        <v>89888073</v>
      </c>
      <c r="G6" s="7">
        <v>76208775</v>
      </c>
      <c r="H6" s="7">
        <v>75062919</v>
      </c>
      <c r="I6" s="7">
        <v>53653620</v>
      </c>
    </row>
    <row r="7" spans="2:11" x14ac:dyDescent="0.25">
      <c r="B7" s="3" t="s">
        <v>5</v>
      </c>
      <c r="C7" s="8">
        <v>93391660</v>
      </c>
      <c r="D7" s="8">
        <v>102743110</v>
      </c>
      <c r="E7" s="9">
        <v>74319160</v>
      </c>
      <c r="F7" s="9">
        <v>82838310</v>
      </c>
      <c r="G7" s="9">
        <v>69371390</v>
      </c>
      <c r="H7" s="9">
        <v>64526298</v>
      </c>
      <c r="I7" s="9">
        <v>45666880</v>
      </c>
    </row>
    <row r="8" spans="2:11" x14ac:dyDescent="0.25">
      <c r="B8" s="5" t="s">
        <v>6</v>
      </c>
      <c r="C8" s="10">
        <f>C7/C6</f>
        <v>0.96132280772706991</v>
      </c>
      <c r="D8" s="10">
        <f>D7/D6</f>
        <v>0.96133469637746571</v>
      </c>
      <c r="E8" s="11">
        <f t="shared" ref="E8:I8" si="0">(E7/E6)</f>
        <v>0.955119921532259</v>
      </c>
      <c r="F8" s="11">
        <f t="shared" si="0"/>
        <v>0.921571764031475</v>
      </c>
      <c r="G8" s="11">
        <f t="shared" si="0"/>
        <v>0.91028086988670265</v>
      </c>
      <c r="H8" s="11">
        <f t="shared" si="0"/>
        <v>0.85962947963694303</v>
      </c>
      <c r="I8" s="11">
        <f t="shared" si="0"/>
        <v>0.85114256969054469</v>
      </c>
    </row>
    <row r="9" spans="2:11" x14ac:dyDescent="0.25">
      <c r="B9" s="3" t="s">
        <v>7</v>
      </c>
      <c r="C9" s="8">
        <f>C7/C5</f>
        <v>316581.89830508473</v>
      </c>
      <c r="D9" s="12">
        <f t="shared" ref="D9:I9" si="1">D7/D5</f>
        <v>350659.07849829353</v>
      </c>
      <c r="E9" s="12">
        <f t="shared" si="1"/>
        <v>260768.98245614034</v>
      </c>
      <c r="F9" s="12">
        <f t="shared" si="1"/>
        <v>296911.50537634408</v>
      </c>
      <c r="G9" s="12">
        <f t="shared" si="1"/>
        <v>274195.21739130432</v>
      </c>
      <c r="H9" s="12">
        <f t="shared" si="1"/>
        <v>293301.35454545455</v>
      </c>
      <c r="I9" s="12">
        <f t="shared" si="1"/>
        <v>226073.66336633664</v>
      </c>
    </row>
    <row r="10" spans="2:11" x14ac:dyDescent="0.25">
      <c r="B10" s="5" t="s">
        <v>8</v>
      </c>
      <c r="C10" s="24">
        <f>C6/12</f>
        <v>8095759.583333333</v>
      </c>
      <c r="D10" s="13">
        <f t="shared" ref="D10:I10" si="2">D6/12</f>
        <v>8906290.25</v>
      </c>
      <c r="E10" s="13">
        <f t="shared" si="2"/>
        <v>6484278.25</v>
      </c>
      <c r="F10" s="13">
        <f t="shared" si="2"/>
        <v>7490672.75</v>
      </c>
      <c r="G10" s="13">
        <f t="shared" si="2"/>
        <v>6350731.25</v>
      </c>
      <c r="H10" s="13">
        <f t="shared" si="2"/>
        <v>6255243.25</v>
      </c>
      <c r="I10" s="13">
        <f t="shared" si="2"/>
        <v>4471135</v>
      </c>
    </row>
    <row r="11" spans="2:11" x14ac:dyDescent="0.25">
      <c r="B11" s="25" t="s">
        <v>25</v>
      </c>
      <c r="C11" s="26">
        <f t="shared" ref="C11:I11" si="3">C6/C14</f>
        <v>298.13968654384979</v>
      </c>
      <c r="D11" s="27">
        <f t="shared" si="3"/>
        <v>327.98881390574218</v>
      </c>
      <c r="E11" s="27">
        <f t="shared" si="3"/>
        <v>238.79423110562803</v>
      </c>
      <c r="F11" s="27">
        <f t="shared" si="3"/>
        <v>275.85636686706499</v>
      </c>
      <c r="G11" s="27">
        <f t="shared" si="3"/>
        <v>233.87614277691338</v>
      </c>
      <c r="H11" s="27">
        <f t="shared" si="3"/>
        <v>230.35963983538488</v>
      </c>
      <c r="I11" s="27">
        <f t="shared" si="3"/>
        <v>164.65691374278427</v>
      </c>
    </row>
    <row r="12" spans="2:11" x14ac:dyDescent="0.25">
      <c r="B12" s="5" t="s">
        <v>26</v>
      </c>
      <c r="C12" s="28">
        <f t="shared" ref="C12:I12" si="4">C9/C14</f>
        <v>0.97155417140068534</v>
      </c>
      <c r="D12" s="29">
        <f t="shared" si="4"/>
        <v>1.0761331973763884</v>
      </c>
      <c r="E12" s="29">
        <f t="shared" si="4"/>
        <v>0.80027062202092469</v>
      </c>
      <c r="F12" s="29">
        <f t="shared" si="4"/>
        <v>0.91118795208958725</v>
      </c>
      <c r="G12" s="29">
        <f t="shared" si="4"/>
        <v>0.84147422408187889</v>
      </c>
      <c r="H12" s="29">
        <f t="shared" si="4"/>
        <v>0.90010880600475229</v>
      </c>
      <c r="I12" s="29">
        <f t="shared" si="4"/>
        <v>0.69379459742746419</v>
      </c>
    </row>
    <row r="13" spans="2:11" x14ac:dyDescent="0.25">
      <c r="B13" s="3" t="s">
        <v>9</v>
      </c>
      <c r="C13" s="8">
        <v>488777</v>
      </c>
      <c r="D13" s="8">
        <v>488777</v>
      </c>
      <c r="E13" s="8">
        <v>488777</v>
      </c>
      <c r="F13" s="8">
        <v>488777</v>
      </c>
      <c r="G13" s="8">
        <v>488777</v>
      </c>
      <c r="H13" s="8">
        <v>488777</v>
      </c>
      <c r="I13" s="8">
        <v>488777</v>
      </c>
    </row>
    <row r="14" spans="2:11" x14ac:dyDescent="0.25">
      <c r="B14" s="14" t="s">
        <v>10</v>
      </c>
      <c r="C14" s="15">
        <v>325851</v>
      </c>
      <c r="D14" s="15">
        <v>325851</v>
      </c>
      <c r="E14" s="15">
        <v>325851</v>
      </c>
      <c r="F14" s="15">
        <v>325851</v>
      </c>
      <c r="G14" s="15">
        <v>325851</v>
      </c>
      <c r="H14" s="15">
        <v>325851</v>
      </c>
      <c r="I14" s="15">
        <v>325851</v>
      </c>
      <c r="K14" s="32"/>
    </row>
    <row r="18" spans="3:10" x14ac:dyDescent="0.25">
      <c r="E18" t="s">
        <v>24</v>
      </c>
    </row>
    <row r="19" spans="3:10" ht="30" x14ac:dyDescent="0.25">
      <c r="C19" s="60" t="s">
        <v>11</v>
      </c>
      <c r="D19" s="61" t="s">
        <v>43</v>
      </c>
      <c r="E19" s="61" t="s">
        <v>44</v>
      </c>
      <c r="F19" s="62" t="s">
        <v>45</v>
      </c>
      <c r="G19" s="59" t="s">
        <v>11</v>
      </c>
      <c r="H19" s="17" t="s">
        <v>40</v>
      </c>
      <c r="I19" s="17" t="s">
        <v>41</v>
      </c>
      <c r="J19" s="18" t="s">
        <v>42</v>
      </c>
    </row>
    <row r="20" spans="3:10" x14ac:dyDescent="0.25">
      <c r="C20" s="19" t="s">
        <v>13</v>
      </c>
      <c r="D20" s="22">
        <f>1432800+1825920</f>
        <v>3258720</v>
      </c>
      <c r="E20" s="22">
        <v>345600</v>
      </c>
      <c r="F20" s="4">
        <v>1</v>
      </c>
      <c r="G20" s="19" t="s">
        <v>28</v>
      </c>
      <c r="H20" s="22">
        <f>5502240+2352960</f>
        <v>7855200</v>
      </c>
      <c r="I20" s="22">
        <v>455040</v>
      </c>
      <c r="J20" s="4">
        <v>1</v>
      </c>
    </row>
    <row r="21" spans="3:10" x14ac:dyDescent="0.25">
      <c r="C21" s="20"/>
      <c r="D21" s="12"/>
      <c r="E21" s="12">
        <v>283680</v>
      </c>
      <c r="F21" s="4">
        <v>1</v>
      </c>
      <c r="G21" s="20" t="s">
        <v>28</v>
      </c>
      <c r="H21" s="12"/>
      <c r="I21" s="12">
        <v>403200</v>
      </c>
      <c r="J21" s="4">
        <v>1</v>
      </c>
    </row>
    <row r="22" spans="3:10" x14ac:dyDescent="0.25">
      <c r="C22" s="20" t="s">
        <v>12</v>
      </c>
      <c r="D22" s="12">
        <f>2017440+0</f>
        <v>2017440</v>
      </c>
      <c r="E22" s="12">
        <v>259200</v>
      </c>
      <c r="F22" s="4">
        <v>2</v>
      </c>
      <c r="G22" s="20" t="s">
        <v>29</v>
      </c>
      <c r="H22" s="12">
        <f>0+2177280</f>
        <v>2177280</v>
      </c>
      <c r="I22" s="12">
        <v>223200</v>
      </c>
      <c r="J22" s="4">
        <v>1</v>
      </c>
    </row>
    <row r="23" spans="3:10" x14ac:dyDescent="0.25">
      <c r="C23" s="20" t="s">
        <v>14</v>
      </c>
      <c r="D23" s="12">
        <f>0+1945440</f>
        <v>1945440</v>
      </c>
      <c r="E23" s="12">
        <v>260640</v>
      </c>
      <c r="F23" s="4">
        <v>1</v>
      </c>
      <c r="G23" s="20" t="s">
        <v>30</v>
      </c>
      <c r="H23" s="12">
        <f>0+2103840</f>
        <v>2103840</v>
      </c>
      <c r="I23" s="12">
        <v>208800</v>
      </c>
      <c r="J23" s="4">
        <v>1</v>
      </c>
    </row>
    <row r="24" spans="3:10" x14ac:dyDescent="0.25">
      <c r="C24" s="20" t="s">
        <v>15</v>
      </c>
      <c r="D24" s="12">
        <f>0+1833120</f>
        <v>1833120</v>
      </c>
      <c r="E24" s="12">
        <v>259200</v>
      </c>
      <c r="F24" s="4">
        <v>1</v>
      </c>
      <c r="G24" s="20" t="s">
        <v>31</v>
      </c>
      <c r="H24" s="12">
        <f>0+2501280</f>
        <v>2501280</v>
      </c>
      <c r="I24" s="12">
        <v>230400</v>
      </c>
      <c r="J24" s="4">
        <v>1</v>
      </c>
    </row>
    <row r="25" spans="3:10" x14ac:dyDescent="0.25">
      <c r="C25" s="20" t="s">
        <v>16</v>
      </c>
      <c r="D25" s="12">
        <f>0+1522080</f>
        <v>1522080</v>
      </c>
      <c r="E25" s="12">
        <v>257760</v>
      </c>
      <c r="F25" s="4">
        <v>1</v>
      </c>
      <c r="G25" s="20" t="s">
        <v>32</v>
      </c>
      <c r="H25" s="12">
        <f>0+1651680</f>
        <v>1651680</v>
      </c>
      <c r="I25" s="12">
        <v>221760</v>
      </c>
      <c r="J25" s="4">
        <v>1</v>
      </c>
    </row>
    <row r="26" spans="3:10" x14ac:dyDescent="0.25">
      <c r="C26" s="20" t="s">
        <v>17</v>
      </c>
      <c r="D26" s="12">
        <f>0+2043360</f>
        <v>2043360</v>
      </c>
      <c r="E26" s="12">
        <v>266400</v>
      </c>
      <c r="F26" s="4">
        <v>1</v>
      </c>
      <c r="G26" s="20" t="s">
        <v>33</v>
      </c>
      <c r="H26" s="12">
        <f>5760+1897920</f>
        <v>1903680</v>
      </c>
      <c r="I26" s="12">
        <v>203040</v>
      </c>
      <c r="J26" s="4">
        <v>1</v>
      </c>
    </row>
    <row r="27" spans="3:10" x14ac:dyDescent="0.25">
      <c r="C27" s="20" t="s">
        <v>18</v>
      </c>
      <c r="D27" s="12">
        <f>404640+4481280</f>
        <v>4885920</v>
      </c>
      <c r="E27" s="12">
        <v>404640</v>
      </c>
      <c r="F27" s="4">
        <v>1</v>
      </c>
      <c r="G27" s="20" t="s">
        <v>34</v>
      </c>
      <c r="H27" s="12">
        <f>1006560+2315520</f>
        <v>3322080</v>
      </c>
      <c r="I27" s="12">
        <v>237600</v>
      </c>
      <c r="J27" s="4">
        <v>1</v>
      </c>
    </row>
    <row r="28" spans="3:10" x14ac:dyDescent="0.25">
      <c r="C28" s="20"/>
      <c r="D28" s="12"/>
      <c r="E28" s="12">
        <v>506880</v>
      </c>
      <c r="F28" s="4">
        <v>1</v>
      </c>
      <c r="G28" s="20" t="s">
        <v>34</v>
      </c>
      <c r="H28" s="12"/>
      <c r="I28" s="12">
        <v>217440</v>
      </c>
      <c r="J28" s="4">
        <v>2</v>
      </c>
    </row>
    <row r="29" spans="3:10" x14ac:dyDescent="0.25">
      <c r="C29" s="20" t="s">
        <v>19</v>
      </c>
      <c r="D29" s="12">
        <f>13799520+0</f>
        <v>13799520</v>
      </c>
      <c r="E29" s="12">
        <v>656640</v>
      </c>
      <c r="F29" s="4">
        <v>1</v>
      </c>
      <c r="G29" s="20" t="s">
        <v>35</v>
      </c>
      <c r="H29" s="12">
        <f>7315200+4802400</f>
        <v>12117600</v>
      </c>
      <c r="I29" s="12">
        <v>538560</v>
      </c>
      <c r="J29" s="4">
        <v>1</v>
      </c>
    </row>
    <row r="30" spans="3:10" x14ac:dyDescent="0.25">
      <c r="C30" s="20"/>
      <c r="D30" s="12"/>
      <c r="E30" s="12"/>
      <c r="F30" s="4"/>
      <c r="G30" s="20" t="s">
        <v>35</v>
      </c>
      <c r="H30" s="12"/>
      <c r="I30" s="12">
        <v>442080</v>
      </c>
      <c r="J30" s="4">
        <v>2</v>
      </c>
    </row>
    <row r="31" spans="3:10" x14ac:dyDescent="0.25">
      <c r="C31" s="20" t="s">
        <v>20</v>
      </c>
      <c r="D31" s="12">
        <f>15904800+0</f>
        <v>15904800</v>
      </c>
      <c r="E31" s="12">
        <v>875520</v>
      </c>
      <c r="F31" s="4">
        <v>1</v>
      </c>
      <c r="G31" s="20" t="s">
        <v>36</v>
      </c>
      <c r="H31" s="12">
        <f>18077760+208800</f>
        <v>18286560</v>
      </c>
      <c r="I31" s="12">
        <v>681120</v>
      </c>
      <c r="J31" s="4">
        <v>1</v>
      </c>
    </row>
    <row r="32" spans="3:10" x14ac:dyDescent="0.25">
      <c r="C32" s="20"/>
      <c r="D32" s="12"/>
      <c r="E32" s="12"/>
      <c r="F32" s="4"/>
      <c r="G32" s="20" t="s">
        <v>36</v>
      </c>
      <c r="H32" s="12"/>
      <c r="I32" s="12">
        <v>188640</v>
      </c>
      <c r="J32" s="4">
        <v>1</v>
      </c>
    </row>
    <row r="33" spans="3:10" x14ac:dyDescent="0.25">
      <c r="C33" s="20" t="s">
        <v>21</v>
      </c>
      <c r="D33" s="12">
        <f>21070080+0</f>
        <v>21070080</v>
      </c>
      <c r="E33" s="12">
        <v>923040</v>
      </c>
      <c r="F33" s="4">
        <v>2</v>
      </c>
      <c r="G33" s="20" t="s">
        <v>37</v>
      </c>
      <c r="H33" s="12">
        <f>18783360+0</f>
        <v>18783360</v>
      </c>
      <c r="I33" s="12">
        <v>681120</v>
      </c>
      <c r="J33" s="4">
        <v>1</v>
      </c>
    </row>
    <row r="34" spans="3:10" x14ac:dyDescent="0.25">
      <c r="C34" s="20" t="s">
        <v>22</v>
      </c>
      <c r="D34" s="12">
        <f>22147200+0</f>
        <v>22147200</v>
      </c>
      <c r="E34" s="12">
        <v>923040</v>
      </c>
      <c r="F34" s="4">
        <v>2</v>
      </c>
      <c r="G34" s="20" t="s">
        <v>38</v>
      </c>
      <c r="H34" s="12">
        <f>13184640+0</f>
        <v>13184640</v>
      </c>
      <c r="I34" s="12">
        <v>593280</v>
      </c>
      <c r="J34" s="4">
        <v>1</v>
      </c>
    </row>
    <row r="35" spans="3:10" x14ac:dyDescent="0.25">
      <c r="C35" s="21" t="s">
        <v>23</v>
      </c>
      <c r="D35" s="23">
        <f>15726240+0</f>
        <v>15726240</v>
      </c>
      <c r="E35" s="23">
        <v>679680</v>
      </c>
      <c r="F35" s="16">
        <v>1</v>
      </c>
      <c r="G35" s="21" t="s">
        <v>39</v>
      </c>
      <c r="H35" s="23">
        <f>13118400+0</f>
        <v>13118400</v>
      </c>
      <c r="I35" s="23">
        <v>522720</v>
      </c>
      <c r="J35" s="16">
        <v>1</v>
      </c>
    </row>
    <row r="36" spans="3:10" x14ac:dyDescent="0.25">
      <c r="C36" s="30" t="s">
        <v>27</v>
      </c>
      <c r="D36" s="31">
        <f>SUM(D20:D35)</f>
        <v>106153920</v>
      </c>
      <c r="G36" s="30" t="s">
        <v>27</v>
      </c>
      <c r="H36" s="31">
        <f>SUM(H20:H35)</f>
        <v>97005600</v>
      </c>
    </row>
    <row r="39" spans="3:10" x14ac:dyDescent="0.25">
      <c r="G39" s="33" t="s">
        <v>4</v>
      </c>
      <c r="H39" s="34"/>
      <c r="I39" s="35">
        <f>C6</f>
        <v>97149115</v>
      </c>
    </row>
    <row r="40" spans="3:10" x14ac:dyDescent="0.25">
      <c r="G40" s="36" t="s">
        <v>46</v>
      </c>
      <c r="H40" s="37"/>
      <c r="I40" s="38">
        <f>H36</f>
        <v>97005600</v>
      </c>
    </row>
    <row r="41" spans="3:10" x14ac:dyDescent="0.25">
      <c r="G41" s="36" t="s">
        <v>47</v>
      </c>
      <c r="H41" s="37"/>
      <c r="I41" s="39">
        <f>I39-I40</f>
        <v>143515</v>
      </c>
    </row>
    <row r="42" spans="3:10" x14ac:dyDescent="0.25">
      <c r="G42" s="36" t="s">
        <v>48</v>
      </c>
      <c r="H42" s="37"/>
      <c r="I42" s="40" t="s">
        <v>49</v>
      </c>
    </row>
    <row r="43" spans="3:10" x14ac:dyDescent="0.25">
      <c r="G43" s="36" t="s">
        <v>50</v>
      </c>
      <c r="H43" s="37"/>
      <c r="I43" s="41">
        <v>37200</v>
      </c>
    </row>
    <row r="44" spans="3:10" x14ac:dyDescent="0.25">
      <c r="G44" s="42" t="s">
        <v>51</v>
      </c>
      <c r="H44" s="43"/>
      <c r="I44" s="44">
        <f>I41/I43</f>
        <v>3.8579301075268817</v>
      </c>
    </row>
  </sheetData>
  <mergeCells count="1">
    <mergeCell ref="C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22387-F2ED-40EE-B52B-F3462555C341}">
  <dimension ref="B2:H34"/>
  <sheetViews>
    <sheetView workbookViewId="0">
      <selection activeCell="F33" sqref="F33"/>
    </sheetView>
  </sheetViews>
  <sheetFormatPr defaultRowHeight="15" x14ac:dyDescent="0.25"/>
  <cols>
    <col min="3" max="3" width="11.28515625" customWidth="1"/>
    <col min="4" max="4" width="11.5703125" bestFit="1" customWidth="1"/>
  </cols>
  <sheetData>
    <row r="2" spans="2:8" ht="21" x14ac:dyDescent="0.35">
      <c r="B2" s="56" t="s">
        <v>52</v>
      </c>
      <c r="C2" s="57"/>
      <c r="D2" s="58"/>
      <c r="E2" s="48"/>
      <c r="F2" s="48"/>
      <c r="G2" s="48"/>
      <c r="H2" s="48"/>
    </row>
    <row r="3" spans="2:8" ht="30" x14ac:dyDescent="0.25">
      <c r="B3" s="1" t="s">
        <v>53</v>
      </c>
      <c r="C3" s="55" t="s">
        <v>54</v>
      </c>
      <c r="D3" s="55" t="s">
        <v>55</v>
      </c>
      <c r="E3" s="48"/>
      <c r="F3" s="48"/>
      <c r="G3" s="48"/>
      <c r="H3" s="48"/>
    </row>
    <row r="4" spans="2:8" x14ac:dyDescent="0.25">
      <c r="B4" s="36">
        <v>2010</v>
      </c>
      <c r="C4" s="51">
        <v>21000</v>
      </c>
      <c r="D4" s="52">
        <f>1620000-C4</f>
        <v>1599000</v>
      </c>
    </row>
    <row r="5" spans="2:8" x14ac:dyDescent="0.25">
      <c r="B5" s="36">
        <v>2011</v>
      </c>
      <c r="C5" s="51">
        <v>22000</v>
      </c>
      <c r="D5" s="52">
        <f>D4-C5</f>
        <v>1577000</v>
      </c>
      <c r="F5" t="s">
        <v>56</v>
      </c>
    </row>
    <row r="6" spans="2:8" x14ac:dyDescent="0.25">
      <c r="B6" s="36">
        <v>2012</v>
      </c>
      <c r="C6" s="51">
        <v>24000</v>
      </c>
      <c r="D6" s="52">
        <f t="shared" ref="D6:D33" si="0">D5-C6</f>
        <v>1553000</v>
      </c>
      <c r="F6" t="s">
        <v>57</v>
      </c>
    </row>
    <row r="7" spans="2:8" x14ac:dyDescent="0.25">
      <c r="B7" s="36">
        <v>2013</v>
      </c>
      <c r="C7" s="51">
        <v>26000</v>
      </c>
      <c r="D7" s="52">
        <f t="shared" si="0"/>
        <v>1527000</v>
      </c>
    </row>
    <row r="8" spans="2:8" x14ac:dyDescent="0.25">
      <c r="B8" s="36">
        <v>2014</v>
      </c>
      <c r="C8" s="51">
        <v>27000</v>
      </c>
      <c r="D8" s="52">
        <f t="shared" si="0"/>
        <v>1500000</v>
      </c>
      <c r="F8" t="s">
        <v>58</v>
      </c>
    </row>
    <row r="9" spans="2:8" x14ac:dyDescent="0.25">
      <c r="B9" s="36">
        <v>2015</v>
      </c>
      <c r="C9" s="51">
        <v>29000</v>
      </c>
      <c r="D9" s="52">
        <f t="shared" si="0"/>
        <v>1471000</v>
      </c>
    </row>
    <row r="10" spans="2:8" x14ac:dyDescent="0.25">
      <c r="B10" s="36">
        <v>2016</v>
      </c>
      <c r="C10" s="51">
        <v>30000</v>
      </c>
      <c r="D10" s="52">
        <f t="shared" si="0"/>
        <v>1441000</v>
      </c>
      <c r="F10" t="s">
        <v>59</v>
      </c>
    </row>
    <row r="11" spans="2:8" x14ac:dyDescent="0.25">
      <c r="B11" s="36">
        <v>2017</v>
      </c>
      <c r="C11" s="51">
        <v>33000</v>
      </c>
      <c r="D11" s="52">
        <f t="shared" si="0"/>
        <v>1408000</v>
      </c>
    </row>
    <row r="12" spans="2:8" x14ac:dyDescent="0.25">
      <c r="B12" s="36">
        <v>2018</v>
      </c>
      <c r="C12" s="51">
        <v>36000</v>
      </c>
      <c r="D12" s="52">
        <f t="shared" si="0"/>
        <v>1372000</v>
      </c>
      <c r="F12" t="s">
        <v>60</v>
      </c>
    </row>
    <row r="13" spans="2:8" x14ac:dyDescent="0.25">
      <c r="B13" s="36">
        <v>2019</v>
      </c>
      <c r="C13" s="51">
        <v>39000</v>
      </c>
      <c r="D13" s="52">
        <f t="shared" si="0"/>
        <v>1333000</v>
      </c>
    </row>
    <row r="14" spans="2:8" x14ac:dyDescent="0.25">
      <c r="B14" s="36">
        <v>2020</v>
      </c>
      <c r="C14" s="51">
        <v>42000</v>
      </c>
      <c r="D14" s="52">
        <f t="shared" si="0"/>
        <v>1291000</v>
      </c>
    </row>
    <row r="15" spans="2:8" x14ac:dyDescent="0.25">
      <c r="B15" s="36">
        <v>2021</v>
      </c>
      <c r="C15" s="51">
        <v>45000</v>
      </c>
      <c r="D15" s="52">
        <f t="shared" si="0"/>
        <v>1246000</v>
      </c>
      <c r="F15" t="s">
        <v>61</v>
      </c>
    </row>
    <row r="16" spans="2:8" x14ac:dyDescent="0.25">
      <c r="B16" s="36">
        <v>2022</v>
      </c>
      <c r="C16" s="51">
        <v>48000</v>
      </c>
      <c r="D16" s="52">
        <f t="shared" si="0"/>
        <v>1198000</v>
      </c>
      <c r="F16" t="s">
        <v>62</v>
      </c>
    </row>
    <row r="17" spans="2:6" x14ac:dyDescent="0.25">
      <c r="B17" s="36">
        <v>2023</v>
      </c>
      <c r="C17" s="51">
        <v>51000</v>
      </c>
      <c r="D17" s="52">
        <f t="shared" si="0"/>
        <v>1147000</v>
      </c>
    </row>
    <row r="18" spans="2:6" x14ac:dyDescent="0.25">
      <c r="B18" s="36">
        <v>2024</v>
      </c>
      <c r="C18" s="51">
        <v>54000</v>
      </c>
      <c r="D18" s="52">
        <f t="shared" si="0"/>
        <v>1093000</v>
      </c>
    </row>
    <row r="19" spans="2:6" x14ac:dyDescent="0.25">
      <c r="B19" s="36">
        <v>2025</v>
      </c>
      <c r="C19" s="51">
        <v>57000</v>
      </c>
      <c r="D19" s="52">
        <f t="shared" si="0"/>
        <v>1036000</v>
      </c>
    </row>
    <row r="20" spans="2:6" x14ac:dyDescent="0.25">
      <c r="B20" s="36">
        <v>2026</v>
      </c>
      <c r="C20" s="51">
        <v>59000</v>
      </c>
      <c r="D20" s="52">
        <f t="shared" si="0"/>
        <v>977000</v>
      </c>
    </row>
    <row r="21" spans="2:6" x14ac:dyDescent="0.25">
      <c r="B21" s="36">
        <v>2027</v>
      </c>
      <c r="C21" s="51">
        <v>61000</v>
      </c>
      <c r="D21" s="52">
        <f t="shared" si="0"/>
        <v>916000</v>
      </c>
    </row>
    <row r="22" spans="2:6" x14ac:dyDescent="0.25">
      <c r="B22" s="36">
        <v>2028</v>
      </c>
      <c r="C22" s="51">
        <v>63000</v>
      </c>
      <c r="D22" s="52">
        <f t="shared" si="0"/>
        <v>853000</v>
      </c>
    </row>
    <row r="23" spans="2:6" x14ac:dyDescent="0.25">
      <c r="B23" s="36">
        <v>2029</v>
      </c>
      <c r="C23" s="51">
        <v>65000</v>
      </c>
      <c r="D23" s="52">
        <f t="shared" si="0"/>
        <v>788000</v>
      </c>
    </row>
    <row r="24" spans="2:6" x14ac:dyDescent="0.25">
      <c r="B24" s="36">
        <v>2030</v>
      </c>
      <c r="C24" s="51">
        <v>67000</v>
      </c>
      <c r="D24" s="52">
        <f t="shared" si="0"/>
        <v>721000</v>
      </c>
    </row>
    <row r="25" spans="2:6" x14ac:dyDescent="0.25">
      <c r="B25" s="36">
        <v>2031</v>
      </c>
      <c r="C25" s="51">
        <v>70000</v>
      </c>
      <c r="D25" s="52">
        <f t="shared" si="0"/>
        <v>651000</v>
      </c>
    </row>
    <row r="26" spans="2:6" x14ac:dyDescent="0.25">
      <c r="B26" s="36">
        <v>2032</v>
      </c>
      <c r="C26" s="51">
        <v>72000</v>
      </c>
      <c r="D26" s="52">
        <f t="shared" si="0"/>
        <v>579000</v>
      </c>
    </row>
    <row r="27" spans="2:6" x14ac:dyDescent="0.25">
      <c r="B27" s="36">
        <v>2033</v>
      </c>
      <c r="C27" s="51">
        <v>75000</v>
      </c>
      <c r="D27" s="52">
        <f t="shared" si="0"/>
        <v>504000</v>
      </c>
    </row>
    <row r="28" spans="2:6" x14ac:dyDescent="0.25">
      <c r="B28" s="36">
        <v>2034</v>
      </c>
      <c r="C28" s="51">
        <v>77000</v>
      </c>
      <c r="D28" s="52">
        <f t="shared" si="0"/>
        <v>427000</v>
      </c>
    </row>
    <row r="29" spans="2:6" x14ac:dyDescent="0.25">
      <c r="B29" s="36">
        <v>2035</v>
      </c>
      <c r="C29" s="51">
        <v>79000</v>
      </c>
      <c r="D29" s="52">
        <f t="shared" si="0"/>
        <v>348000</v>
      </c>
    </row>
    <row r="30" spans="2:6" x14ac:dyDescent="0.25">
      <c r="B30" s="36">
        <v>2036</v>
      </c>
      <c r="C30" s="51">
        <v>82000</v>
      </c>
      <c r="D30" s="52">
        <f t="shared" si="0"/>
        <v>266000</v>
      </c>
    </row>
    <row r="31" spans="2:6" x14ac:dyDescent="0.25">
      <c r="B31" s="36">
        <v>2037</v>
      </c>
      <c r="C31" s="51">
        <v>85000</v>
      </c>
      <c r="D31" s="52">
        <f t="shared" si="0"/>
        <v>181000</v>
      </c>
    </row>
    <row r="32" spans="2:6" x14ac:dyDescent="0.25">
      <c r="B32" s="36">
        <v>2038</v>
      </c>
      <c r="C32" s="51">
        <v>88000</v>
      </c>
      <c r="D32" s="52">
        <f t="shared" si="0"/>
        <v>93000</v>
      </c>
      <c r="F32" t="s">
        <v>63</v>
      </c>
    </row>
    <row r="33" spans="2:4" x14ac:dyDescent="0.25">
      <c r="B33" s="42">
        <v>2039</v>
      </c>
      <c r="C33" s="53">
        <v>93000</v>
      </c>
      <c r="D33" s="54">
        <f t="shared" si="0"/>
        <v>0</v>
      </c>
    </row>
    <row r="34" spans="2:4" x14ac:dyDescent="0.25">
      <c r="B34" s="49" t="s">
        <v>27</v>
      </c>
      <c r="C34" s="50">
        <f>SUM(C4:C33)</f>
        <v>1620000</v>
      </c>
      <c r="D34" s="50"/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01239-924F-4C9D-BEA7-C5F7E0CFC2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Water use</vt:lpstr>
      <vt:lpstr>Loan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ISOM</dc:creator>
  <cp:lastModifiedBy>T ISOM</cp:lastModifiedBy>
  <dcterms:created xsi:type="dcterms:W3CDTF">2020-10-28T02:18:50Z</dcterms:created>
  <dcterms:modified xsi:type="dcterms:W3CDTF">2021-10-28T01:49:22Z</dcterms:modified>
</cp:coreProperties>
</file>